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duciary Reports and Information\3. Dashboards\"/>
    </mc:Choice>
  </mc:AlternateContent>
  <bookViews>
    <workbookView xWindow="-135" yWindow="3990" windowWidth="12120" windowHeight="3465" tabRatio="909"/>
  </bookViews>
  <sheets>
    <sheet name="Charts" sheetId="8" r:id="rId1"/>
    <sheet name="Foundation Assets" sheetId="2" r:id="rId2"/>
    <sheet name="Grants Distributed" sheetId="3" r:id="rId3"/>
    <sheet name="Contributions Received" sheetId="5" r:id="rId4"/>
    <sheet name="Operating Expenses" sheetId="4" r:id="rId5"/>
    <sheet name="Inv Perf" sheetId="6" r:id="rId6"/>
  </sheets>
  <definedNames>
    <definedName name="_xlnm.Print_Area" localSheetId="0">Charts!$A$1:$S$70</definedName>
  </definedNames>
  <calcPr calcId="171027"/>
</workbook>
</file>

<file path=xl/calcChain.xml><?xml version="1.0" encoding="utf-8"?>
<calcChain xmlns="http://schemas.openxmlformats.org/spreadsheetml/2006/main">
  <c r="M5" i="5" l="1"/>
  <c r="M8" i="5" s="1"/>
  <c r="L6" i="5"/>
  <c r="M5" i="3"/>
  <c r="M7" i="2" l="1"/>
  <c r="M9" i="2" s="1"/>
  <c r="J8" i="2" l="1"/>
  <c r="I8" i="2" s="1"/>
  <c r="H8" i="2" s="1"/>
  <c r="G8" i="2" s="1"/>
  <c r="F8" i="2" s="1"/>
  <c r="E8" i="2" s="1"/>
  <c r="D8" i="2" s="1"/>
  <c r="C8" i="2" s="1"/>
  <c r="B8" i="2" s="1"/>
  <c r="L5" i="2" l="1"/>
  <c r="L7" i="2" l="1"/>
  <c r="L9" i="2" s="1"/>
  <c r="L7" i="5" l="1"/>
  <c r="K5" i="5"/>
  <c r="L5" i="5"/>
  <c r="L8" i="5" s="1"/>
  <c r="L5" i="3" l="1"/>
  <c r="K5" i="2" l="1"/>
  <c r="K7" i="5" l="1"/>
  <c r="K8" i="5" s="1"/>
  <c r="J4" i="4" l="1"/>
  <c r="I4" i="4"/>
  <c r="H4" i="4"/>
  <c r="G4" i="4"/>
  <c r="F4" i="4"/>
  <c r="E4" i="4"/>
  <c r="D4" i="4"/>
  <c r="K5" i="3" l="1"/>
  <c r="K7" i="2"/>
  <c r="K9" i="2" s="1"/>
  <c r="J5" i="2" l="1"/>
  <c r="J7" i="2" l="1"/>
  <c r="J9" i="2" s="1"/>
  <c r="J7" i="5" l="1"/>
  <c r="J8" i="5" s="1"/>
  <c r="J5" i="3" l="1"/>
  <c r="I4" i="3" l="1"/>
  <c r="I7" i="3" s="1"/>
  <c r="I5" i="2"/>
  <c r="I7" i="5" l="1"/>
  <c r="I8" i="5" s="1"/>
  <c r="I7" i="2"/>
  <c r="I9" i="2" s="1"/>
  <c r="G5" i="2" l="1"/>
  <c r="H5" i="2"/>
  <c r="F5" i="2"/>
  <c r="E5" i="2"/>
  <c r="H8" i="5"/>
  <c r="G8" i="5"/>
  <c r="G5" i="3"/>
  <c r="H7" i="2" l="1"/>
  <c r="H9" i="2" s="1"/>
  <c r="E7" i="2"/>
  <c r="E9" i="2" s="1"/>
  <c r="F7" i="2"/>
  <c r="F9" i="2" s="1"/>
  <c r="G7" i="2"/>
  <c r="G9" i="2" s="1"/>
  <c r="D7" i="2"/>
  <c r="D9" i="2" s="1"/>
  <c r="F4" i="3"/>
  <c r="E4" i="3"/>
  <c r="C4" i="3"/>
  <c r="B4" i="3"/>
  <c r="D4" i="3"/>
  <c r="H5" i="3"/>
</calcChain>
</file>

<file path=xl/comments1.xml><?xml version="1.0" encoding="utf-8"?>
<comments xmlns="http://schemas.openxmlformats.org/spreadsheetml/2006/main">
  <authors>
    <author>mfelver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mfelver:</t>
        </r>
        <r>
          <rPr>
            <sz val="9"/>
            <color indexed="81"/>
            <rFont val="Tahoma"/>
            <family val="2"/>
          </rPr>
          <t xml:space="preserve">
Other assets higher due to White Family DA fund being started and sitting in MM. Also timing of transferring cash to the  Pool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mfelver:</t>
        </r>
        <r>
          <rPr>
            <sz val="9"/>
            <color indexed="81"/>
            <rFont val="Tahoma"/>
            <family val="2"/>
          </rPr>
          <t xml:space="preserve">
High due to GIFTVI grant</t>
        </r>
      </text>
    </comment>
  </commentList>
</comments>
</file>

<file path=xl/sharedStrings.xml><?xml version="1.0" encoding="utf-8"?>
<sst xmlns="http://schemas.openxmlformats.org/spreadsheetml/2006/main" count="26" uniqueCount="23">
  <si>
    <t>Gifts Received</t>
  </si>
  <si>
    <t>Investment Performance History</t>
  </si>
  <si>
    <t>Total Assets</t>
  </si>
  <si>
    <t>Total Grants Distributed</t>
  </si>
  <si>
    <t>Total Grants</t>
  </si>
  <si>
    <t>Endowed</t>
  </si>
  <si>
    <t>Assets</t>
  </si>
  <si>
    <t>Gifts</t>
  </si>
  <si>
    <t>Endowment</t>
  </si>
  <si>
    <t>Other Assets</t>
  </si>
  <si>
    <t>Estate Gifts</t>
  </si>
  <si>
    <t>Total Gifts, less IF</t>
  </si>
  <si>
    <t>Operating Expenses</t>
  </si>
  <si>
    <t>Actual</t>
  </si>
  <si>
    <t>Pass Through</t>
  </si>
  <si>
    <t>Desired Return (with 1.5% admin fee)</t>
  </si>
  <si>
    <t>GIFTVI - Lilly Match</t>
  </si>
  <si>
    <t>Less: Fixed Assets that belonged to Legacy eff. 1/1/15</t>
  </si>
  <si>
    <t>3/31/2016</t>
  </si>
  <si>
    <t>3/31/16</t>
  </si>
  <si>
    <t>Annual Budget</t>
  </si>
  <si>
    <t>YTD Actual</t>
  </si>
  <si>
    <t xml:space="preserve">Other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</si>
</sst>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&quot;$&quot;#,##0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Inheri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Univers LT Std 45 Light"/>
      <family val="2"/>
    </font>
    <font>
      <b/>
      <sz val="10"/>
      <name val="Univers LT Std 45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Protection="1"/>
    <xf numFmtId="0" fontId="5" fillId="0" borderId="0" xfId="0" applyFont="1"/>
    <xf numFmtId="0" fontId="4" fillId="0" borderId="0" xfId="0" applyFont="1"/>
    <xf numFmtId="166" fontId="0" fillId="0" borderId="0" xfId="0" applyNumberFormat="1"/>
    <xf numFmtId="166" fontId="4" fillId="0" borderId="0" xfId="1" applyNumberFormat="1" applyFont="1"/>
    <xf numFmtId="166" fontId="0" fillId="0" borderId="0" xfId="1" applyNumberFormat="1" applyFont="1"/>
    <xf numFmtId="5" fontId="0" fillId="0" borderId="0" xfId="1" applyNumberFormat="1" applyFont="1" applyAlignment="1">
      <alignment horizontal="center"/>
    </xf>
    <xf numFmtId="5" fontId="0" fillId="0" borderId="0" xfId="0" applyNumberFormat="1"/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43" fontId="0" fillId="0" borderId="0" xfId="2" applyFont="1"/>
    <xf numFmtId="10" fontId="0" fillId="0" borderId="0" xfId="3" applyNumberFormat="1" applyFont="1"/>
    <xf numFmtId="10" fontId="3" fillId="0" borderId="0" xfId="3" applyNumberFormat="1" applyFont="1" applyProtection="1"/>
    <xf numFmtId="4" fontId="0" fillId="0" borderId="0" xfId="0" applyNumberFormat="1"/>
    <xf numFmtId="0" fontId="9" fillId="0" borderId="0" xfId="0" applyFont="1"/>
    <xf numFmtId="0" fontId="1" fillId="0" borderId="0" xfId="0" applyFont="1"/>
    <xf numFmtId="44" fontId="0" fillId="0" borderId="0" xfId="1" applyFont="1"/>
    <xf numFmtId="44" fontId="1" fillId="0" borderId="0" xfId="1" applyFont="1" applyAlignment="1">
      <alignment vertical="center"/>
    </xf>
    <xf numFmtId="9" fontId="0" fillId="0" borderId="0" xfId="3" applyFont="1"/>
    <xf numFmtId="166" fontId="0" fillId="0" borderId="0" xfId="0" applyNumberFormat="1" applyFill="1"/>
    <xf numFmtId="0" fontId="0" fillId="0" borderId="0" xfId="0" applyFill="1"/>
    <xf numFmtId="166" fontId="0" fillId="0" borderId="0" xfId="1" applyNumberFormat="1" applyFont="1" applyFill="1"/>
    <xf numFmtId="4" fontId="1" fillId="0" borderId="0" xfId="0" applyNumberFormat="1" applyFont="1"/>
    <xf numFmtId="44" fontId="0" fillId="0" borderId="0" xfId="0" applyNumberFormat="1"/>
    <xf numFmtId="0" fontId="10" fillId="0" borderId="0" xfId="0" applyFont="1"/>
    <xf numFmtId="8" fontId="10" fillId="0" borderId="0" xfId="0" applyNumberFormat="1" applyFont="1"/>
    <xf numFmtId="43" fontId="10" fillId="0" borderId="0" xfId="2" applyFont="1"/>
    <xf numFmtId="0" fontId="11" fillId="0" borderId="0" xfId="0" applyFont="1" applyAlignment="1">
      <alignment horizontal="right"/>
    </xf>
    <xf numFmtId="44" fontId="10" fillId="0" borderId="0" xfId="1" applyFont="1"/>
    <xf numFmtId="164" fontId="0" fillId="0" borderId="0" xfId="1" applyNumberFormat="1" applyFont="1" applyFill="1"/>
    <xf numFmtId="43" fontId="0" fillId="0" borderId="0" xfId="2" applyFont="1" applyFill="1" applyAlignment="1"/>
    <xf numFmtId="164" fontId="1" fillId="0" borderId="0" xfId="1" applyNumberFormat="1" applyFont="1" applyFill="1"/>
    <xf numFmtId="43" fontId="0" fillId="0" borderId="1" xfId="2" applyFont="1" applyBorder="1"/>
    <xf numFmtId="43" fontId="0" fillId="0" borderId="1" xfId="0" applyNumberFormat="1" applyBorder="1"/>
    <xf numFmtId="43" fontId="1" fillId="0" borderId="0" xfId="2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Fill="1" applyBorder="1"/>
    <xf numFmtId="14" fontId="2" fillId="0" borderId="1" xfId="0" quotePrefix="1" applyNumberFormat="1" applyFont="1" applyBorder="1" applyAlignment="1">
      <alignment horizontal="center"/>
    </xf>
    <xf numFmtId="165" fontId="3" fillId="0" borderId="0" xfId="0" quotePrefix="1" applyNumberFormat="1" applyFont="1" applyAlignment="1" applyProtection="1">
      <alignment horizontal="center"/>
    </xf>
    <xf numFmtId="0" fontId="6" fillId="0" borderId="0" xfId="0" applyFo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66"/>
      <color rgb="FFE2B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Foundation Assets</a:t>
            </a:r>
          </a:p>
        </c:rich>
      </c:tx>
      <c:overlay val="1"/>
      <c:spPr>
        <a:scene3d>
          <a:camera prst="orthographicFront"/>
          <a:lightRig rig="threePt" dir="t"/>
        </a:scene3d>
        <a:sp3d prstMaterial="matte"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Endowment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'Foundation Assets'!$D$3:$M$3</c15:sqref>
                  </c15:fullRef>
                </c:ext>
              </c:extLst>
              <c:f>'Foundation Assets'!$F$3:$M$3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'Foundation Assets'!$D$5:$M$5</c15:sqref>
                  </c15:fullRef>
                </c:ext>
              </c:extLst>
              <c:f>'Foundation Assets'!$F$5:$M$5</c:f>
              <c:numCache>
                <c:formatCode>"$"#,##0</c:formatCode>
                <c:ptCount val="8"/>
                <c:pt idx="0">
                  <c:v>13314943.609999999</c:v>
                </c:pt>
                <c:pt idx="1">
                  <c:v>15902818</c:v>
                </c:pt>
                <c:pt idx="2">
                  <c:v>16571816.649999999</c:v>
                </c:pt>
                <c:pt idx="3">
                  <c:v>18781637</c:v>
                </c:pt>
                <c:pt idx="4">
                  <c:v>22989350</c:v>
                </c:pt>
                <c:pt idx="5">
                  <c:v>29049474</c:v>
                </c:pt>
                <c:pt idx="6">
                  <c:v>30064343</c:v>
                </c:pt>
                <c:pt idx="7">
                  <c:v>30368613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1-4721-A6D5-5A35A2651CB4}"/>
            </c:ext>
          </c:extLst>
        </c:ser>
        <c:ser>
          <c:idx val="1"/>
          <c:order val="1"/>
          <c:tx>
            <c:v>Other Assets</c:v>
          </c:tx>
          <c:invertIfNegative val="0"/>
          <c:dLbls>
            <c:dLbl>
              <c:idx val="0"/>
              <c:layout>
                <c:manualLayout>
                  <c:x val="9.2753623188405795E-3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1-4721-A6D5-5A35A2651CB4}"/>
                </c:ext>
              </c:extLst>
            </c:dLbl>
            <c:dLbl>
              <c:idx val="1"/>
              <c:layout>
                <c:manualLayout>
                  <c:x val="5.5772754923939846E-3"/>
                  <c:y val="-7.5878822248780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81-4721-A6D5-5A35A2651CB4}"/>
                </c:ext>
              </c:extLst>
            </c:dLbl>
            <c:dLbl>
              <c:idx val="2"/>
              <c:layout>
                <c:manualLayout>
                  <c:x val="1.0654560776131285E-2"/>
                  <c:y val="-7.064737495147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1-4721-A6D5-5A35A2651CB4}"/>
                </c:ext>
              </c:extLst>
            </c:dLbl>
            <c:dLbl>
              <c:idx val="3"/>
              <c:layout>
                <c:manualLayout>
                  <c:x val="1.337908101610139E-2"/>
                  <c:y val="-8.33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81-4721-A6D5-5A35A2651CB4}"/>
                </c:ext>
              </c:extLst>
            </c:dLbl>
            <c:dLbl>
              <c:idx val="4"/>
              <c:layout>
                <c:manualLayout>
                  <c:x val="1.4581363220303329E-2"/>
                  <c:y val="-9.6674253438786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81-4721-A6D5-5A35A2651CB4}"/>
                </c:ext>
              </c:extLst>
            </c:dLbl>
            <c:dLbl>
              <c:idx val="5"/>
              <c:layout>
                <c:manualLayout>
                  <c:x val="6.2194577285822113E-3"/>
                  <c:y val="-8.1939788541886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81-4721-A6D5-5A35A2651CB4}"/>
                </c:ext>
              </c:extLst>
            </c:dLbl>
            <c:dLbl>
              <c:idx val="6"/>
              <c:layout>
                <c:manualLayout>
                  <c:x val="2.0056461307453866E-2"/>
                  <c:y val="-8.0561877865655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81-4721-A6D5-5A35A2651CB4}"/>
                </c:ext>
              </c:extLst>
            </c:dLbl>
            <c:dLbl>
              <c:idx val="7"/>
              <c:layout>
                <c:manualLayout>
                  <c:x val="3.2090338091926039E-2"/>
                  <c:y val="-7.250569007909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37-4808-ACF9-273AC6500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'Foundation Assets'!$D$3:$M$3</c15:sqref>
                  </c15:fullRef>
                </c:ext>
              </c:extLst>
              <c:f>'Foundation Assets'!$F$3:$M$3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'Foundation Assets'!$D$9:$M$9</c15:sqref>
                  </c15:fullRef>
                </c:ext>
              </c:extLst>
              <c:f>'Foundation Assets'!$F$9:$M$9</c:f>
              <c:numCache>
                <c:formatCode>_("$"* #,##0_);_("$"* \(#,##0\);_("$"* "-"??_);_(@_)</c:formatCode>
                <c:ptCount val="8"/>
                <c:pt idx="0">
                  <c:v>961899.68000000063</c:v>
                </c:pt>
                <c:pt idx="1">
                  <c:v>751053.29</c:v>
                </c:pt>
                <c:pt idx="2">
                  <c:v>743932.64000000153</c:v>
                </c:pt>
                <c:pt idx="3">
                  <c:v>1229921.29</c:v>
                </c:pt>
                <c:pt idx="4">
                  <c:v>771388</c:v>
                </c:pt>
                <c:pt idx="5">
                  <c:v>1785593</c:v>
                </c:pt>
                <c:pt idx="6">
                  <c:v>804621</c:v>
                </c:pt>
                <c:pt idx="7">
                  <c:v>550365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'Foundation Assets'!$D$9</c15:sqref>
                  <c15:dLbl>
                    <c:idx val="-1"/>
                    <c:layout>
                      <c:manualLayout>
                        <c:x val="4.6376811594202897E-3"/>
                        <c:y val="-7.87037037037037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456-4F4C-912A-B4C63F20C92F}"/>
                      </c:ext>
                    </c:extLst>
                  </c15:dLbl>
                </c15:categoryFilterException>
                <c15:categoryFilterException>
                  <c15:sqref>'Foundation Assets'!$E$9</c15:sqref>
                  <c15:dLbl>
                    <c:idx val="-1"/>
                    <c:layout>
                      <c:manualLayout>
                        <c:x val="9.2753623188405795E-3"/>
                        <c:y val="-7.87037037037037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456-4F4C-912A-B4C63F20C92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0481-4721-A6D5-5A35A2651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205408"/>
        <c:axId val="164205800"/>
        <c:axId val="0"/>
      </c:bar3DChart>
      <c:catAx>
        <c:axId val="1642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205800"/>
        <c:crosses val="autoZero"/>
        <c:auto val="1"/>
        <c:lblAlgn val="ctr"/>
        <c:lblOffset val="100"/>
        <c:noMultiLvlLbl val="0"/>
      </c:catAx>
      <c:valAx>
        <c:axId val="16420580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64205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Grants Distributed</a:t>
            </a:r>
          </a:p>
        </c:rich>
      </c:tx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Endowed</c:v>
          </c:tx>
          <c:spPr>
            <a:solidFill>
              <a:schemeClr val="accent6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-4.4694832196019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9A-4C0C-BAFF-24CAE7E9F4F3}"/>
                </c:ext>
              </c:extLst>
            </c:dLbl>
            <c:dLbl>
              <c:idx val="8"/>
              <c:layout>
                <c:manualLayout>
                  <c:x val="0"/>
                  <c:y val="-1.6252666253098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9A-4C0C-BAFF-24CAE7E9F4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'Grants Distributed'!$F$3:$M$3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'Grants Distributed'!$F$4:$M$4</c:f>
              <c:numCache>
                <c:formatCode>"$"#,##0</c:formatCode>
                <c:ptCount val="8"/>
                <c:pt idx="0">
                  <c:v>611633</c:v>
                </c:pt>
                <c:pt idx="1">
                  <c:v>343304.78</c:v>
                </c:pt>
                <c:pt idx="2">
                  <c:v>324013.58</c:v>
                </c:pt>
                <c:pt idx="3">
                  <c:v>502393.43</c:v>
                </c:pt>
                <c:pt idx="4">
                  <c:v>489833.7</c:v>
                </c:pt>
                <c:pt idx="5">
                  <c:v>587406.74</c:v>
                </c:pt>
                <c:pt idx="6">
                  <c:v>727900</c:v>
                </c:pt>
                <c:pt idx="7">
                  <c:v>302601.53000000003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A-4C0C-BAFF-24CAE7E9F4F3}"/>
            </c:ext>
          </c:extLst>
        </c:ser>
        <c:ser>
          <c:idx val="1"/>
          <c:order val="1"/>
          <c:tx>
            <c:v>Pass Through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436198590288493E-3"/>
                  <c:y val="-7.630370858329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9A-4C0C-BAFF-24CAE7E9F4F3}"/>
                </c:ext>
              </c:extLst>
            </c:dLbl>
            <c:dLbl>
              <c:idx val="1"/>
              <c:layout>
                <c:manualLayout>
                  <c:x val="0"/>
                  <c:y val="-0.10068270796294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9A-4C0C-BAFF-24CAE7E9F4F3}"/>
                </c:ext>
              </c:extLst>
            </c:dLbl>
            <c:dLbl>
              <c:idx val="2"/>
              <c:layout>
                <c:manualLayout>
                  <c:x val="2.4008510469850732E-3"/>
                  <c:y val="-0.10580133802954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9A-4C0C-BAFF-24CAE7E9F4F3}"/>
                </c:ext>
              </c:extLst>
            </c:dLbl>
            <c:dLbl>
              <c:idx val="3"/>
              <c:layout>
                <c:manualLayout>
                  <c:x val="-3.7300085301014744E-3"/>
                  <c:y val="-0.147513437938127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9A-4C0C-BAFF-24CAE7E9F4F3}"/>
                </c:ext>
              </c:extLst>
            </c:dLbl>
            <c:dLbl>
              <c:idx val="4"/>
              <c:layout>
                <c:manualLayout>
                  <c:x val="-4.0872397180576987E-3"/>
                  <c:y val="-4.8694791242931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9A-4C0C-BAFF-24CAE7E9F4F3}"/>
                </c:ext>
              </c:extLst>
            </c:dLbl>
            <c:dLbl>
              <c:idx val="5"/>
              <c:layout>
                <c:manualLayout>
                  <c:x val="-7.4931862545120836E-17"/>
                  <c:y val="-8.6540997910029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9A-4C0C-BAFF-24CAE7E9F4F3}"/>
                </c:ext>
              </c:extLst>
            </c:dLbl>
            <c:dLbl>
              <c:idx val="6"/>
              <c:layout>
                <c:manualLayout>
                  <c:x val="-2.6824522086622772E-4"/>
                  <c:y val="-0.1053146566203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9A-4C0C-BAFF-24CAE7E9F4F3}"/>
                </c:ext>
              </c:extLst>
            </c:dLbl>
            <c:dLbl>
              <c:idx val="7"/>
              <c:layout>
                <c:manualLayout>
                  <c:x val="0"/>
                  <c:y val="-3.009730970691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9A-4C0C-BAFF-24CAE7E9F4F3}"/>
                </c:ext>
              </c:extLst>
            </c:dLbl>
            <c:dLbl>
              <c:idx val="8"/>
              <c:layout>
                <c:manualLayout>
                  <c:x val="-4.0872397180576987E-3"/>
                  <c:y val="-2.4378999379647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9A-4C0C-BAFF-24CAE7E9F4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'Grants Distributed'!$F$3:$M$3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'Grants Distributed'!$F$5:$M$5</c:f>
              <c:numCache>
                <c:formatCode>"$"#,##0</c:formatCode>
                <c:ptCount val="8"/>
                <c:pt idx="0">
                  <c:v>51500</c:v>
                </c:pt>
                <c:pt idx="1">
                  <c:v>171302.21999999997</c:v>
                </c:pt>
                <c:pt idx="2">
                  <c:v>148673.41999999998</c:v>
                </c:pt>
                <c:pt idx="3">
                  <c:v>307708.82</c:v>
                </c:pt>
                <c:pt idx="4">
                  <c:v>40746.81</c:v>
                </c:pt>
                <c:pt idx="5">
                  <c:v>124623.17000000004</c:v>
                </c:pt>
                <c:pt idx="6">
                  <c:v>188588.27000000002</c:v>
                </c:pt>
                <c:pt idx="7">
                  <c:v>10460.859999999986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9A-4C0C-BAFF-24CAE7E9F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8892856"/>
        <c:axId val="558893248"/>
      </c:barChart>
      <c:catAx>
        <c:axId val="55889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8893248"/>
        <c:crosses val="autoZero"/>
        <c:auto val="1"/>
        <c:lblAlgn val="ctr"/>
        <c:lblOffset val="100"/>
        <c:noMultiLvlLbl val="0"/>
      </c:catAx>
      <c:valAx>
        <c:axId val="558893248"/>
        <c:scaling>
          <c:orientation val="minMax"/>
          <c:max val="1000000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558892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Contributions Received</a:t>
            </a:r>
          </a:p>
        </c:rich>
      </c:tx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'Contributions Received'!$A$8</c:f>
              <c:strCache>
                <c:ptCount val="1"/>
                <c:pt idx="0">
                  <c:v>Gifts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7"/>
              <c:layout>
                <c:manualLayout>
                  <c:x val="2.4109197579778269E-2"/>
                  <c:y val="1.33369074238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7-45E4-A9B1-28BB769845DD}"/>
                </c:ext>
              </c:extLst>
            </c:dLbl>
            <c:dLbl>
              <c:idx val="8"/>
              <c:layout>
                <c:manualLayout>
                  <c:x val="2.0867744440607292E-3"/>
                  <c:y val="-8.4579408909808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B7-45E4-A9B1-28BB76984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'Contributions Received'!$F$4:$M$4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'Contributions Received'!$F$8:$M$8</c:f>
              <c:numCache>
                <c:formatCode>"$"#,##0</c:formatCode>
                <c:ptCount val="8"/>
                <c:pt idx="0">
                  <c:v>366665</c:v>
                </c:pt>
                <c:pt idx="1">
                  <c:v>408078</c:v>
                </c:pt>
                <c:pt idx="2">
                  <c:v>438411.13</c:v>
                </c:pt>
                <c:pt idx="3" formatCode="_(&quot;$&quot;* #,##0_);_(&quot;$&quot;* \(#,##0\);_(&quot;$&quot;* &quot;-&quot;??_);_(@_)">
                  <c:v>1028976.57</c:v>
                </c:pt>
                <c:pt idx="4" formatCode="_(&quot;$&quot;* #,##0_);_(&quot;$&quot;* \(#,##0\);_(&quot;$&quot;* &quot;-&quot;??_);_(@_)">
                  <c:v>458283.39</c:v>
                </c:pt>
                <c:pt idx="5" formatCode="_(&quot;$&quot;* #,##0_);_(&quot;$&quot;* \(#,##0\);_(&quot;$&quot;* &quot;-&quot;??_);_(@_)">
                  <c:v>987064.32000000007</c:v>
                </c:pt>
                <c:pt idx="6" formatCode="_(&quot;$&quot;* #,##0_);_(&quot;$&quot;* \(#,##0\);_(&quot;$&quot;* &quot;-&quot;??_);_(@_)">
                  <c:v>1022603.6300000001</c:v>
                </c:pt>
                <c:pt idx="7" formatCode="_(&quot;$&quot;* #,##0_);_(&quot;$&quot;* \(#,##0\);_(&quot;$&quot;* &quot;-&quot;??_);_(@_)">
                  <c:v>189743.33000000002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7-45E4-A9B1-28BB769845DD}"/>
            </c:ext>
          </c:extLst>
        </c:ser>
        <c:ser>
          <c:idx val="2"/>
          <c:order val="1"/>
          <c:tx>
            <c:strRef>
              <c:f>'Contributions Received'!$A$6</c:f>
              <c:strCache>
                <c:ptCount val="1"/>
                <c:pt idx="0">
                  <c:v>GIFTVI - Lilly Match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7"/>
              <c:layout>
                <c:manualLayout>
                  <c:x val="-1.4733228321464803E-16"/>
                  <c:y val="-5.497661579137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B-48BD-9456-ADFF757C47FD}"/>
                </c:ext>
              </c:extLst>
            </c:dLbl>
            <c:dLbl>
              <c:idx val="8"/>
              <c:layout>
                <c:manualLayout>
                  <c:x val="-2.0090997983150029E-3"/>
                  <c:y val="-7.75302291981670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B7-45E4-A9B1-28BB76984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'Contributions Received'!$F$4:$M$4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'Contributions Received'!$F$6:$M$6</c:f>
              <c:numCache>
                <c:formatCode>_("$"* #,##0_);_("$"* \(#,##0\);_("$"* "-"??_);_(@_)</c:formatCode>
                <c:ptCount val="8"/>
                <c:pt idx="5">
                  <c:v>608570.22</c:v>
                </c:pt>
                <c:pt idx="6">
                  <c:v>356124.97</c:v>
                </c:pt>
                <c:pt idx="7">
                  <c:v>35304.81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B7-45E4-A9B1-28BB769845DD}"/>
            </c:ext>
          </c:extLst>
        </c:ser>
        <c:ser>
          <c:idx val="1"/>
          <c:order val="2"/>
          <c:tx>
            <c:strRef>
              <c:f>'Contributions Received'!$A$7</c:f>
              <c:strCache>
                <c:ptCount val="1"/>
                <c:pt idx="0">
                  <c:v>Estate Gifts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0768428587104371E-3"/>
                  <c:y val="-9.0177175233874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B7-45E4-A9B1-28BB769845DD}"/>
                </c:ext>
              </c:extLst>
            </c:dLbl>
            <c:dLbl>
              <c:idx val="1"/>
              <c:layout>
                <c:manualLayout>
                  <c:x val="-6.7708245171592605E-5"/>
                  <c:y val="-0.10299407777642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B7-45E4-A9B1-28BB769845DD}"/>
                </c:ext>
              </c:extLst>
            </c:dLbl>
            <c:dLbl>
              <c:idx val="2"/>
              <c:layout>
                <c:manualLayout>
                  <c:x val="-2.0768428587104181E-3"/>
                  <c:y val="-7.7880287701982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B7-45E4-A9B1-28BB769845DD}"/>
                </c:ext>
              </c:extLst>
            </c:dLbl>
            <c:dLbl>
              <c:idx val="3"/>
              <c:layout>
                <c:manualLayout>
                  <c:x val="0"/>
                  <c:y val="-9.082729650577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B7-45E4-A9B1-28BB769845DD}"/>
                </c:ext>
              </c:extLst>
            </c:dLbl>
            <c:dLbl>
              <c:idx val="4"/>
              <c:layout>
                <c:manualLayout>
                  <c:x val="-7.6150025127793579E-17"/>
                  <c:y val="-6.968236268072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B7-45E4-A9B1-28BB769845DD}"/>
                </c:ext>
              </c:extLst>
            </c:dLbl>
            <c:dLbl>
              <c:idx val="5"/>
              <c:layout>
                <c:manualLayout>
                  <c:x val="2.0768428587103417E-3"/>
                  <c:y val="-6.1484437659460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B7-45E4-A9B1-28BB769845DD}"/>
                </c:ext>
              </c:extLst>
            </c:dLbl>
            <c:dLbl>
              <c:idx val="6"/>
              <c:layout>
                <c:manualLayout>
                  <c:x val="-2.0868182456697305E-3"/>
                  <c:y val="-5.764561402942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B7-45E4-A9B1-28BB769845DD}"/>
                </c:ext>
              </c:extLst>
            </c:dLbl>
            <c:dLbl>
              <c:idx val="7"/>
              <c:layout>
                <c:manualLayout>
                  <c:x val="1.185147405437432E-2"/>
                  <c:y val="-0.10759866071502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B7-45E4-A9B1-28BB769845DD}"/>
                </c:ext>
              </c:extLst>
            </c:dLbl>
            <c:dLbl>
              <c:idx val="8"/>
              <c:layout>
                <c:manualLayout>
                  <c:x val="-1.4733228321464803E-16"/>
                  <c:y val="-8.035043846431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B7-45E4-A9B1-28BB76984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'Contributions Received'!$F$4:$M$4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'Contributions Received'!$F$7:$M$7</c:f>
              <c:numCache>
                <c:formatCode>"$"#,##0_);\("$"#,##0\)</c:formatCode>
                <c:ptCount val="8"/>
                <c:pt idx="0">
                  <c:v>899445</c:v>
                </c:pt>
                <c:pt idx="1">
                  <c:v>1000000</c:v>
                </c:pt>
                <c:pt idx="2">
                  <c:v>851296.67</c:v>
                </c:pt>
                <c:pt idx="3">
                  <c:v>646595.95000000007</c:v>
                </c:pt>
                <c:pt idx="4" formatCode="_(&quot;$&quot;* #,##0_);_(&quot;$&quot;* \(#,##0\);_(&quot;$&quot;* &quot;-&quot;??_);_(@_)">
                  <c:v>583265.29</c:v>
                </c:pt>
                <c:pt idx="5" formatCode="_(&quot;$&quot;* #,##0_);_(&quot;$&quot;* \(#,##0\);_(&quot;$&quot;* &quot;-&quot;??_);_(@_)">
                  <c:v>4491023.29</c:v>
                </c:pt>
                <c:pt idx="6" formatCode="_(&quot;$&quot;* #,##0_);_(&quot;$&quot;* \(#,##0\);_(&quot;$&quot;* &quot;-&quot;??_);_(@_)">
                  <c:v>565060.65999999992</c:v>
                </c:pt>
                <c:pt idx="7" formatCode="_(&quot;$&quot;* #,##0_);_(&quot;$&quot;* \(#,##0\);_(&quot;$&quot;* &quot;-&quot;??_);_(@_)">
                  <c:v>126727.11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B7-45E4-A9B1-28BB7698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8894032"/>
        <c:axId val="348065888"/>
      </c:barChart>
      <c:catAx>
        <c:axId val="55889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65888"/>
        <c:crosses val="autoZero"/>
        <c:auto val="1"/>
        <c:lblAlgn val="ctr"/>
        <c:lblOffset val="100"/>
        <c:noMultiLvlLbl val="0"/>
      </c:catAx>
      <c:valAx>
        <c:axId val="348065888"/>
        <c:scaling>
          <c:orientation val="minMax"/>
          <c:max val="6000000"/>
          <c:min val="0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558894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Operating Expenses 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Annual Budget</c:v>
          </c:tx>
          <c:spPr>
            <a:pattFill prst="lt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cap="flat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2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cap="flat"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02-E3F3-4FDC-B799-6C3586F8170D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3-4FDC-B799-6C3586F8170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strRef>
              <c:f>'Operating Expenses'!$F$3:$M$3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'Operating Expenses'!$F$5:$M$5</c:f>
              <c:numCache>
                <c:formatCode>General</c:formatCode>
                <c:ptCount val="8"/>
                <c:pt idx="7" formatCode="_(&quot;$&quot;* #,##0_);_(&quot;$&quot;* \(#,##0\);_(&quot;$&quot;* &quot;-&quot;??_);_(@_)">
                  <c:v>558477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3-4FDC-B799-6C3586F81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066672"/>
        <c:axId val="348067064"/>
      </c:barChart>
      <c:barChart>
        <c:barDir val="col"/>
        <c:grouping val="clustered"/>
        <c:varyColors val="0"/>
        <c:ser>
          <c:idx val="0"/>
          <c:order val="0"/>
          <c:tx>
            <c:strRef>
              <c:f>'Operating Expenses'!$A$1</c:f>
              <c:strCache>
                <c:ptCount val="1"/>
                <c:pt idx="0">
                  <c:v>Operating Expenses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86411889596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53-48EB-A290-CCE398A0185F}"/>
                </c:ext>
              </c:extLst>
            </c:dLbl>
            <c:dLbl>
              <c:idx val="1"/>
              <c:layout>
                <c:manualLayout>
                  <c:x val="0"/>
                  <c:y val="0.39065817409766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53-48EB-A290-CCE398A0185F}"/>
                </c:ext>
              </c:extLst>
            </c:dLbl>
            <c:dLbl>
              <c:idx val="2"/>
              <c:layout>
                <c:manualLayout>
                  <c:x val="2.2637238256932655E-3"/>
                  <c:y val="0.38216560509554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53-48EB-A290-CCE398A0185F}"/>
                </c:ext>
              </c:extLst>
            </c:dLbl>
            <c:dLbl>
              <c:idx val="3"/>
              <c:layout>
                <c:manualLayout>
                  <c:x val="0"/>
                  <c:y val="0.36942675159235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53-48EB-A290-CCE398A0185F}"/>
                </c:ext>
              </c:extLst>
            </c:dLbl>
            <c:dLbl>
              <c:idx val="4"/>
              <c:layout>
                <c:manualLayout>
                  <c:x val="2.2637238256932655E-3"/>
                  <c:y val="0.386411889596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53-48EB-A290-CCE398A0185F}"/>
                </c:ext>
              </c:extLst>
            </c:dLbl>
            <c:dLbl>
              <c:idx val="5"/>
              <c:layout>
                <c:manualLayout>
                  <c:x val="0"/>
                  <c:y val="0.25053078556263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53-48EB-A290-CCE398A0185F}"/>
                </c:ext>
              </c:extLst>
            </c:dLbl>
            <c:dLbl>
              <c:idx val="6"/>
              <c:layout>
                <c:manualLayout>
                  <c:x val="0"/>
                  <c:y val="0.23143975740739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53-48EB-A290-CCE398A0185F}"/>
                </c:ext>
              </c:extLst>
            </c:dLbl>
            <c:dLbl>
              <c:idx val="7"/>
              <c:layout>
                <c:manualLayout>
                  <c:x val="0"/>
                  <c:y val="0.231364857920744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53-48EB-A290-CCE398A0185F}"/>
                </c:ext>
              </c:extLst>
            </c:dLbl>
            <c:dLbl>
              <c:idx val="8"/>
              <c:layout>
                <c:manualLayout>
                  <c:x val="-1.4856259634727655E-16"/>
                  <c:y val="0.265103722121200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53-48EB-A290-CCE398A01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'Operating Expenses'!$F$3:$M$3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3/31/16</c:v>
                </c:pt>
              </c:strCache>
            </c:strRef>
          </c:cat>
          <c:val>
            <c:numRef>
              <c:f>'Operating Expenses'!$F$4:$M$4</c:f>
              <c:numCache>
                <c:formatCode>_("$"* #,##0_);_("$"* \(#,##0\);_("$"* "-"??_);_(@_)</c:formatCode>
                <c:ptCount val="8"/>
                <c:pt idx="0">
                  <c:v>308471.8</c:v>
                </c:pt>
                <c:pt idx="1">
                  <c:v>311287.99000000005</c:v>
                </c:pt>
                <c:pt idx="2">
                  <c:v>330353.39</c:v>
                </c:pt>
                <c:pt idx="3">
                  <c:v>401250.51999999996</c:v>
                </c:pt>
                <c:pt idx="4">
                  <c:v>378717.87</c:v>
                </c:pt>
                <c:pt idx="5">
                  <c:v>444203</c:v>
                </c:pt>
                <c:pt idx="6">
                  <c:v>525552</c:v>
                </c:pt>
                <c:pt idx="7">
                  <c:v>183709.38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53-48EB-A290-CCE398A0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474656"/>
        <c:axId val="600117192"/>
      </c:barChart>
      <c:catAx>
        <c:axId val="34806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67064"/>
        <c:crosses val="autoZero"/>
        <c:auto val="1"/>
        <c:lblAlgn val="ctr"/>
        <c:lblOffset val="100"/>
        <c:noMultiLvlLbl val="0"/>
      </c:catAx>
      <c:valAx>
        <c:axId val="34806706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48066672"/>
        <c:crosses val="autoZero"/>
        <c:crossBetween val="between"/>
        <c:minorUnit val="50000"/>
      </c:valAx>
      <c:valAx>
        <c:axId val="600117192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591474656"/>
        <c:crosses val="max"/>
        <c:crossBetween val="between"/>
      </c:valAx>
      <c:catAx>
        <c:axId val="59147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171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Performance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2378814966969708E-2"/>
          <c:y val="0.13743832020997376"/>
          <c:w val="0.93581227467339534"/>
          <c:h val="0.79740922384701918"/>
        </c:manualLayout>
      </c:layout>
      <c:lineChart>
        <c:grouping val="standard"/>
        <c:varyColors val="0"/>
        <c:ser>
          <c:idx val="0"/>
          <c:order val="0"/>
          <c:tx>
            <c:strRef>
              <c:f>'Inv Perf'!$A$1</c:f>
              <c:strCache>
                <c:ptCount val="1"/>
                <c:pt idx="0">
                  <c:v>Investment Performance History</c:v>
                </c:pt>
              </c:strCache>
            </c:strRef>
          </c:tx>
          <c:dLbls>
            <c:dLbl>
              <c:idx val="6"/>
              <c:layout>
                <c:manualLayout>
                  <c:x val="-2.1562039044636327E-2"/>
                  <c:y val="-3.0866741657292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47-45D6-BB65-5AE5948E8E7A}"/>
                </c:ext>
              </c:extLst>
            </c:dLbl>
            <c:dLbl>
              <c:idx val="7"/>
              <c:layout>
                <c:manualLayout>
                  <c:x val="-2.535162573277374E-2"/>
                  <c:y val="4.913325834270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7-45D6-BB65-5AE5948E8E7A}"/>
                </c:ext>
              </c:extLst>
            </c:dLbl>
            <c:dLbl>
              <c:idx val="8"/>
              <c:layout>
                <c:manualLayout>
                  <c:x val="-2.6425163038195105E-2"/>
                  <c:y val="4.91332583427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47-45D6-BB65-5AE5948E8E7A}"/>
                </c:ext>
              </c:extLst>
            </c:dLbl>
            <c:dLbl>
              <c:idx val="10"/>
              <c:layout>
                <c:manualLayout>
                  <c:x val="-1.8341427128372237E-2"/>
                  <c:y val="-4.9914360704911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7-45D6-BB65-5AE5948E8E7A}"/>
                </c:ext>
              </c:extLst>
            </c:dLbl>
            <c:dLbl>
              <c:idx val="11"/>
              <c:layout>
                <c:manualLayout>
                  <c:x val="-2.2635576350057692E-2"/>
                  <c:y val="4.1514210723659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47-45D6-BB65-5AE5948E8E7A}"/>
                </c:ext>
              </c:extLst>
            </c:dLbl>
            <c:dLbl>
              <c:idx val="14"/>
              <c:layout>
                <c:manualLayout>
                  <c:x val="-2.8073000536768651E-2"/>
                  <c:y val="4.91332583427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47-45D6-BB65-5AE5948E8E7A}"/>
                </c:ext>
              </c:extLst>
            </c:dLbl>
            <c:dLbl>
              <c:idx val="16"/>
              <c:layout>
                <c:manualLayout>
                  <c:x val="-1.462157809983897E-2"/>
                  <c:y val="-4.2295313085864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47-45D6-BB65-5AE5948E8E7A}"/>
                </c:ext>
              </c:extLst>
            </c:dLbl>
            <c:dLbl>
              <c:idx val="17"/>
              <c:layout>
                <c:manualLayout>
                  <c:x val="-2.0488501739214966E-2"/>
                  <c:y val="-6.8961979752530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47-45D6-BB65-5AE5948E8E7A}"/>
                </c:ext>
              </c:extLst>
            </c:dLbl>
            <c:dLbl>
              <c:idx val="19"/>
              <c:layout>
                <c:manualLayout>
                  <c:x val="-2.0191876193471851E-2"/>
                  <c:y val="-8.1010210619274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47-45D6-BB65-5AE5948E8E7A}"/>
                </c:ext>
              </c:extLst>
            </c:dLbl>
            <c:dLbl>
              <c:idx val="20"/>
              <c:layout>
                <c:manualLayout>
                  <c:x val="-2.509082178093959E-2"/>
                  <c:y val="4.293597150954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47-45D6-BB65-5AE5948E8E7A}"/>
                </c:ext>
              </c:extLst>
            </c:dLbl>
            <c:dLbl>
              <c:idx val="21"/>
              <c:layout>
                <c:manualLayout>
                  <c:x val="-6.2255637734365292E-3"/>
                  <c:y val="9.4919509844099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47-45D6-BB65-5AE5948E8E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 Perf'!$B$5:$B$27</c:f>
              <c:strCache>
                <c:ptCount val="23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 </c:v>
                </c:pt>
                <c:pt idx="7">
                  <c:v>2001 </c:v>
                </c:pt>
                <c:pt idx="8">
                  <c:v>2002 </c:v>
                </c:pt>
                <c:pt idx="9">
                  <c:v>2003 </c:v>
                </c:pt>
                <c:pt idx="10">
                  <c:v>2004 </c:v>
                </c:pt>
                <c:pt idx="11">
                  <c:v>2005 </c:v>
                </c:pt>
                <c:pt idx="12">
                  <c:v>2006 </c:v>
                </c:pt>
                <c:pt idx="13">
                  <c:v>2007 </c:v>
                </c:pt>
                <c:pt idx="14">
                  <c:v>2008 </c:v>
                </c:pt>
                <c:pt idx="15">
                  <c:v>2009 </c:v>
                </c:pt>
                <c:pt idx="16">
                  <c:v>2010 </c:v>
                </c:pt>
                <c:pt idx="17">
                  <c:v>2011 </c:v>
                </c:pt>
                <c:pt idx="18">
                  <c:v>2012 </c:v>
                </c:pt>
                <c:pt idx="19">
                  <c:v>2013 </c:v>
                </c:pt>
                <c:pt idx="20">
                  <c:v>2014 </c:v>
                </c:pt>
                <c:pt idx="21">
                  <c:v>2015 </c:v>
                </c:pt>
                <c:pt idx="22">
                  <c:v>3/31/16</c:v>
                </c:pt>
              </c:strCache>
            </c:strRef>
          </c:cat>
          <c:val>
            <c:numRef>
              <c:f>'Inv Perf'!$C$5:$C$27</c:f>
              <c:numCache>
                <c:formatCode>0.00%</c:formatCode>
                <c:ptCount val="23"/>
                <c:pt idx="0">
                  <c:v>1.3999999999999999E-2</c:v>
                </c:pt>
                <c:pt idx="1">
                  <c:v>0.111</c:v>
                </c:pt>
                <c:pt idx="2">
                  <c:v>7.6999999999999999E-2</c:v>
                </c:pt>
                <c:pt idx="3">
                  <c:v>0.20199999999999999</c:v>
                </c:pt>
                <c:pt idx="4">
                  <c:v>0.17600000000000002</c:v>
                </c:pt>
                <c:pt idx="5">
                  <c:v>6.7000000000000004E-2</c:v>
                </c:pt>
                <c:pt idx="6">
                  <c:v>1.6E-2</c:v>
                </c:pt>
                <c:pt idx="7">
                  <c:v>-4.2999999999999997E-2</c:v>
                </c:pt>
                <c:pt idx="8">
                  <c:v>-9.3000000000000013E-2</c:v>
                </c:pt>
                <c:pt idx="9">
                  <c:v>0.16800000000000001</c:v>
                </c:pt>
                <c:pt idx="10">
                  <c:v>7.0000000000000007E-2</c:v>
                </c:pt>
                <c:pt idx="11">
                  <c:v>4.5999999999999999E-2</c:v>
                </c:pt>
                <c:pt idx="12">
                  <c:v>9.6999999999999989E-2</c:v>
                </c:pt>
                <c:pt idx="13">
                  <c:v>0.09</c:v>
                </c:pt>
                <c:pt idx="14">
                  <c:v>-0.23699999999999999</c:v>
                </c:pt>
                <c:pt idx="15">
                  <c:v>0.21</c:v>
                </c:pt>
                <c:pt idx="16">
                  <c:v>0.127</c:v>
                </c:pt>
                <c:pt idx="17">
                  <c:v>7.7000000000000002E-3</c:v>
                </c:pt>
                <c:pt idx="18">
                  <c:v>0.13500000000000001</c:v>
                </c:pt>
                <c:pt idx="19">
                  <c:v>0.19600000000000001</c:v>
                </c:pt>
                <c:pt idx="20">
                  <c:v>6.0100000000000001E-2</c:v>
                </c:pt>
                <c:pt idx="21">
                  <c:v>-1.4500000000000001E-2</c:v>
                </c:pt>
                <c:pt idx="22">
                  <c:v>8.5000000000000006E-3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47-45D6-BB65-5AE5948E8E7A}"/>
            </c:ext>
          </c:extLst>
        </c:ser>
        <c:ser>
          <c:idx val="1"/>
          <c:order val="1"/>
          <c:tx>
            <c:strRef>
              <c:f>'Inv Perf'!$D$4</c:f>
              <c:strCache>
                <c:ptCount val="1"/>
                <c:pt idx="0">
                  <c:v>Desired Return (with 1.5% admin fee)</c:v>
                </c:pt>
              </c:strCache>
            </c:strRef>
          </c:tx>
          <c:marker>
            <c:symbol val="square"/>
            <c:size val="2"/>
          </c:marker>
          <c:cat>
            <c:strRef>
              <c:f>'Inv Perf'!$B$5:$B$27</c:f>
              <c:strCache>
                <c:ptCount val="23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 </c:v>
                </c:pt>
                <c:pt idx="7">
                  <c:v>2001 </c:v>
                </c:pt>
                <c:pt idx="8">
                  <c:v>2002 </c:v>
                </c:pt>
                <c:pt idx="9">
                  <c:v>2003 </c:v>
                </c:pt>
                <c:pt idx="10">
                  <c:v>2004 </c:v>
                </c:pt>
                <c:pt idx="11">
                  <c:v>2005 </c:v>
                </c:pt>
                <c:pt idx="12">
                  <c:v>2006 </c:v>
                </c:pt>
                <c:pt idx="13">
                  <c:v>2007 </c:v>
                </c:pt>
                <c:pt idx="14">
                  <c:v>2008 </c:v>
                </c:pt>
                <c:pt idx="15">
                  <c:v>2009 </c:v>
                </c:pt>
                <c:pt idx="16">
                  <c:v>2010 </c:v>
                </c:pt>
                <c:pt idx="17">
                  <c:v>2011 </c:v>
                </c:pt>
                <c:pt idx="18">
                  <c:v>2012 </c:v>
                </c:pt>
                <c:pt idx="19">
                  <c:v>2013 </c:v>
                </c:pt>
                <c:pt idx="20">
                  <c:v>2014 </c:v>
                </c:pt>
                <c:pt idx="21">
                  <c:v>2015 </c:v>
                </c:pt>
                <c:pt idx="22">
                  <c:v>3/31/16</c:v>
                </c:pt>
              </c:strCache>
            </c:strRef>
          </c:cat>
          <c:val>
            <c:numRef>
              <c:f>'Inv Perf'!$D$5:$D$27</c:f>
              <c:numCache>
                <c:formatCode>0.00%</c:formatCode>
                <c:ptCount val="23"/>
                <c:pt idx="0">
                  <c:v>6.7500000000000004E-2</c:v>
                </c:pt>
                <c:pt idx="1">
                  <c:v>6.7500000000000004E-2</c:v>
                </c:pt>
                <c:pt idx="2">
                  <c:v>6.7500000000000004E-2</c:v>
                </c:pt>
                <c:pt idx="3">
                  <c:v>6.7500000000000004E-2</c:v>
                </c:pt>
                <c:pt idx="4">
                  <c:v>6.7500000000000004E-2</c:v>
                </c:pt>
                <c:pt idx="5">
                  <c:v>6.7500000000000004E-2</c:v>
                </c:pt>
                <c:pt idx="6">
                  <c:v>6.7500000000000004E-2</c:v>
                </c:pt>
                <c:pt idx="7">
                  <c:v>6.7500000000000004E-2</c:v>
                </c:pt>
                <c:pt idx="8">
                  <c:v>6.7500000000000004E-2</c:v>
                </c:pt>
                <c:pt idx="9">
                  <c:v>6.7500000000000004E-2</c:v>
                </c:pt>
                <c:pt idx="10">
                  <c:v>6.7500000000000004E-2</c:v>
                </c:pt>
                <c:pt idx="11">
                  <c:v>6.7500000000000004E-2</c:v>
                </c:pt>
                <c:pt idx="12">
                  <c:v>6.7500000000000004E-2</c:v>
                </c:pt>
                <c:pt idx="13">
                  <c:v>6.7500000000000004E-2</c:v>
                </c:pt>
                <c:pt idx="14">
                  <c:v>6.7500000000000004E-2</c:v>
                </c:pt>
                <c:pt idx="15">
                  <c:v>6.7500000000000004E-2</c:v>
                </c:pt>
                <c:pt idx="16">
                  <c:v>6.7500000000000004E-2</c:v>
                </c:pt>
                <c:pt idx="17">
                  <c:v>6.7500000000000004E-2</c:v>
                </c:pt>
                <c:pt idx="18">
                  <c:v>6.7500000000000004E-2</c:v>
                </c:pt>
                <c:pt idx="19">
                  <c:v>6.7500000000000004E-2</c:v>
                </c:pt>
                <c:pt idx="20">
                  <c:v>6.7500000000000004E-2</c:v>
                </c:pt>
                <c:pt idx="21">
                  <c:v>6.7500000000000004E-2</c:v>
                </c:pt>
                <c:pt idx="22">
                  <c:v>6.7500000000000004E-2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47-45D6-BB65-5AE5948E8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74552"/>
        <c:axId val="599274944"/>
      </c:lineChart>
      <c:catAx>
        <c:axId val="59927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9274944"/>
        <c:crosses val="autoZero"/>
        <c:auto val="1"/>
        <c:lblAlgn val="ctr"/>
        <c:lblOffset val="100"/>
        <c:noMultiLvlLbl val="0"/>
      </c:catAx>
      <c:valAx>
        <c:axId val="599274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99274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136071</xdr:rowOff>
    </xdr:from>
    <xdr:to>
      <xdr:col>8</xdr:col>
      <xdr:colOff>1401536</xdr:colOff>
      <xdr:row>22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1415143</xdr:colOff>
      <xdr:row>2</xdr:row>
      <xdr:rowOff>0</xdr:rowOff>
    </xdr:from>
    <xdr:to>
      <xdr:col>18</xdr:col>
      <xdr:colOff>435429</xdr:colOff>
      <xdr:row>22</xdr:row>
      <xdr:rowOff>68035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24492</xdr:colOff>
      <xdr:row>22</xdr:row>
      <xdr:rowOff>95251</xdr:rowOff>
    </xdr:from>
    <xdr:to>
      <xdr:col>8</xdr:col>
      <xdr:colOff>1415143</xdr:colOff>
      <xdr:row>47</xdr:row>
      <xdr:rowOff>50346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1401536</xdr:colOff>
      <xdr:row>22</xdr:row>
      <xdr:rowOff>81642</xdr:rowOff>
    </xdr:from>
    <xdr:to>
      <xdr:col>18</xdr:col>
      <xdr:colOff>476250</xdr:colOff>
      <xdr:row>47</xdr:row>
      <xdr:rowOff>51706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27215</xdr:colOff>
      <xdr:row>47</xdr:row>
      <xdr:rowOff>40821</xdr:rowOff>
    </xdr:from>
    <xdr:to>
      <xdr:col>18</xdr:col>
      <xdr:colOff>476251</xdr:colOff>
      <xdr:row>69</xdr:row>
      <xdr:rowOff>54429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0.80248</cdr:x>
      <cdr:y>0.16602</cdr:y>
    </cdr:from>
    <cdr:to>
      <cdr:x>0.84717</cdr:x>
      <cdr:y>0.65984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0641" y="501064"/>
          <a:ext cx="280147" cy="1490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Budge</a:t>
          </a:r>
          <a:r>
            <a:rPr lang="en-US" sz="1200" b="1"/>
            <a:t>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0.0681</cdr:x>
      <cdr:y>0.74609</cdr:y>
    </cdr:from>
    <cdr:to>
      <cdr:x>0.56913</cdr:x>
      <cdr:y>0.84523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6215" y="2585216"/>
          <a:ext cx="6299851" cy="3435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Red Line = Desired return of 6.75% (1.5% admin fee + 4.25% target distribution rate + 1% growth)</a:t>
          </a:r>
        </a:p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E22:X77"/>
  <sheetViews>
    <sheetView tabSelected="1" view="pageBreakPreview" topLeftCell="A16" zoomScale="85" zoomScaleNormal="75" zoomScaleSheetLayoutView="85" zoomScalePageLayoutView="70" workbookViewId="0">
      <selection activeCell="V43" sqref="V43"/>
    </sheetView>
  </sheetViews>
  <sheetFormatPr defaultRowHeight="12.75"/>
  <cols>
    <col min="1" max="5" width="9.140625" style="35"/>
    <col min="6" max="6" width="12.5703125" style="35" bestFit="1" customWidth="1"/>
    <col min="7" max="7" width="9.140625" style="35"/>
    <col min="8" max="8" width="6.85546875" style="35" customWidth="1"/>
    <col min="9" max="9" width="23.7109375" style="35" customWidth="1"/>
    <col min="10" max="10" width="11.5703125" style="35" customWidth="1"/>
    <col min="11" max="22" width="9.140625" style="35"/>
    <col min="23" max="23" width="12.85546875" style="35" bestFit="1" customWidth="1"/>
    <col min="24" max="24" width="14" style="35" bestFit="1" customWidth="1"/>
    <col min="25" max="16384" width="9.140625" style="35"/>
  </cols>
  <sheetData>
    <row r="22" spans="23:24" ht="4.5" customHeight="1"/>
    <row r="24" spans="23:24" ht="4.5" customHeight="1"/>
    <row r="25" spans="23:24">
      <c r="X25" s="36"/>
    </row>
    <row r="26" spans="23:24" ht="3.75" customHeight="1"/>
    <row r="28" spans="23:24" ht="3.75" customHeight="1"/>
    <row r="29" spans="23:24">
      <c r="W29" s="37"/>
    </row>
    <row r="30" spans="23:24" ht="4.5" customHeight="1"/>
    <row r="32" spans="23:24" ht="4.5" customHeight="1"/>
    <row r="34" spans="23:23" ht="4.5" customHeight="1"/>
    <row r="36" spans="23:23" ht="4.5" customHeight="1"/>
    <row r="38" spans="23:23" ht="4.5" customHeight="1"/>
    <row r="40" spans="23:23" ht="9" customHeight="1"/>
    <row r="45" spans="23:23">
      <c r="W45" s="37"/>
    </row>
    <row r="76" spans="5:6">
      <c r="E76" s="38"/>
      <c r="F76" s="39"/>
    </row>
    <row r="77" spans="5:6">
      <c r="E77" s="38"/>
      <c r="F77" s="39"/>
    </row>
  </sheetData>
  <phoneticPr fontId="0" type="noConversion"/>
  <printOptions horizontalCentered="1"/>
  <pageMargins left="0.25" right="0.25" top="0.2" bottom="0.2" header="0" footer="0"/>
  <pageSetup scale="71" orientation="landscape" r:id="rId1"/>
  <headerFooter alignWithMargins="0">
    <oddHeader xml:space="preserve">&amp;C&amp;"Arial,Bold"&amp;20HCCF Dashboard - As of 3/31/16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15"/>
  <sheetViews>
    <sheetView workbookViewId="0">
      <selection activeCell="A10" sqref="A10"/>
    </sheetView>
  </sheetViews>
  <sheetFormatPr defaultRowHeight="12.75"/>
  <cols>
    <col min="1" max="1" width="47.5703125" bestFit="1" customWidth="1"/>
    <col min="2" max="2" width="12.7109375" hidden="1" customWidth="1"/>
    <col min="3" max="3" width="12.28515625" hidden="1" customWidth="1"/>
    <col min="4" max="5" width="12.28515625" bestFit="1" customWidth="1"/>
    <col min="6" max="6" width="13.42578125" customWidth="1"/>
    <col min="7" max="8" width="12.85546875" bestFit="1" customWidth="1"/>
    <col min="9" max="9" width="15" bestFit="1" customWidth="1"/>
    <col min="10" max="11" width="15" customWidth="1"/>
    <col min="12" max="12" width="15" bestFit="1" customWidth="1"/>
    <col min="13" max="13" width="15" customWidth="1"/>
  </cols>
  <sheetData>
    <row r="1" spans="1:14">
      <c r="A1" s="9" t="s">
        <v>6</v>
      </c>
    </row>
    <row r="2" spans="1:14">
      <c r="I2" s="20"/>
      <c r="J2" s="20"/>
      <c r="K2" s="20"/>
    </row>
    <row r="3" spans="1:14">
      <c r="B3" s="5">
        <v>2005</v>
      </c>
      <c r="C3" s="5">
        <v>2006</v>
      </c>
      <c r="D3" s="46">
        <v>2007</v>
      </c>
      <c r="E3" s="46">
        <v>2008</v>
      </c>
      <c r="F3" s="46">
        <v>2009</v>
      </c>
      <c r="G3" s="46">
        <v>2010</v>
      </c>
      <c r="H3" s="46">
        <v>2011</v>
      </c>
      <c r="I3" s="46">
        <v>2012</v>
      </c>
      <c r="J3" s="46">
        <v>2013</v>
      </c>
      <c r="K3" s="46">
        <v>2014</v>
      </c>
      <c r="L3" s="46">
        <v>2015</v>
      </c>
      <c r="M3" s="50" t="s">
        <v>18</v>
      </c>
    </row>
    <row r="4" spans="1:14">
      <c r="A4" t="s">
        <v>2</v>
      </c>
      <c r="B4" s="15">
        <v>12429002.01</v>
      </c>
      <c r="C4" s="15">
        <v>13364911.029999999</v>
      </c>
      <c r="D4" s="15">
        <v>15445732.960000001</v>
      </c>
      <c r="E4" s="16">
        <v>12916169.380000001</v>
      </c>
      <c r="F4" s="17">
        <v>15680622</v>
      </c>
      <c r="G4" s="17">
        <v>18058010</v>
      </c>
      <c r="H4" s="17">
        <v>18722036</v>
      </c>
      <c r="I4" s="17">
        <v>21422771</v>
      </c>
      <c r="J4" s="17">
        <v>25204796</v>
      </c>
      <c r="K4" s="17">
        <v>32290809</v>
      </c>
      <c r="L4" s="17">
        <v>30868964</v>
      </c>
      <c r="M4" s="17">
        <v>30918978</v>
      </c>
    </row>
    <row r="5" spans="1:14">
      <c r="A5" s="9" t="s">
        <v>8</v>
      </c>
      <c r="C5" s="10"/>
      <c r="D5" s="10">
        <v>13902317</v>
      </c>
      <c r="E5" s="10">
        <f>11133443.52+228987.54</f>
        <v>11362431.059999999</v>
      </c>
      <c r="F5" s="10">
        <f>13081026.02+233917.59</f>
        <v>13314943.609999999</v>
      </c>
      <c r="G5" s="10">
        <f>15902818</f>
        <v>15902818</v>
      </c>
      <c r="H5" s="10">
        <f>16305232.78+266583.87</f>
        <v>16571816.649999999</v>
      </c>
      <c r="I5" s="10">
        <f>310573+18471064</f>
        <v>18781637</v>
      </c>
      <c r="J5" s="10">
        <f>22582538+406812</f>
        <v>22989350</v>
      </c>
      <c r="K5" s="10">
        <f>28539942+509532</f>
        <v>29049474</v>
      </c>
      <c r="L5" s="10">
        <f>29620759+443584</f>
        <v>30064343</v>
      </c>
      <c r="M5" s="10">
        <v>30368613</v>
      </c>
      <c r="N5" s="9"/>
    </row>
    <row r="6" spans="1:14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/>
    </row>
    <row r="7" spans="1:14" hidden="1">
      <c r="A7" s="9" t="s">
        <v>9</v>
      </c>
      <c r="B7" s="10"/>
      <c r="C7" s="10"/>
      <c r="D7" s="10">
        <f t="shared" ref="D7:M7" si="0">D4-D5</f>
        <v>1543415.9600000009</v>
      </c>
      <c r="E7" s="10">
        <f t="shared" si="0"/>
        <v>1553738.3200000022</v>
      </c>
      <c r="F7" s="10">
        <f t="shared" si="0"/>
        <v>2365678.3900000006</v>
      </c>
      <c r="G7" s="10">
        <f t="shared" si="0"/>
        <v>2155192</v>
      </c>
      <c r="H7" s="10">
        <f t="shared" si="0"/>
        <v>2150219.3500000015</v>
      </c>
      <c r="I7" s="10">
        <f t="shared" si="0"/>
        <v>2641134</v>
      </c>
      <c r="J7" s="10">
        <f t="shared" si="0"/>
        <v>2215446</v>
      </c>
      <c r="K7" s="10">
        <f t="shared" si="0"/>
        <v>3241335</v>
      </c>
      <c r="L7" s="10">
        <f t="shared" si="0"/>
        <v>804621</v>
      </c>
      <c r="M7" s="10">
        <f t="shared" si="0"/>
        <v>550365</v>
      </c>
    </row>
    <row r="8" spans="1:14" hidden="1">
      <c r="A8" s="26" t="s">
        <v>17</v>
      </c>
      <c r="B8" s="43">
        <f>C8-230000-45-302-903-396</f>
        <v>404891.70999999996</v>
      </c>
      <c r="C8" s="43">
        <f>D8-600</f>
        <v>636537.71</v>
      </c>
      <c r="D8" s="43">
        <f>E8-806</f>
        <v>637137.71</v>
      </c>
      <c r="E8" s="43">
        <f>F8-755300-455-2132-7622-251-75</f>
        <v>637943.71</v>
      </c>
      <c r="F8" s="43">
        <f>G8-360</f>
        <v>1403778.71</v>
      </c>
      <c r="G8" s="44">
        <f>H8-2148</f>
        <v>1404138.71</v>
      </c>
      <c r="H8" s="43">
        <f>I8-4926</f>
        <v>1406286.71</v>
      </c>
      <c r="I8" s="43">
        <f>J8-13914-2616-8785.29-7530</f>
        <v>1411212.71</v>
      </c>
      <c r="J8" s="43">
        <f>K8-1395-3534-4139-2616</f>
        <v>1444058</v>
      </c>
      <c r="K8" s="43">
        <v>1455742</v>
      </c>
      <c r="L8" s="43">
        <v>0</v>
      </c>
      <c r="M8" s="43">
        <v>0</v>
      </c>
    </row>
    <row r="9" spans="1:14">
      <c r="A9" s="26" t="s">
        <v>22</v>
      </c>
      <c r="B9" s="21"/>
      <c r="C9" s="21"/>
      <c r="D9" s="2">
        <f>D7-D8</f>
        <v>906278.25000000093</v>
      </c>
      <c r="E9" s="2">
        <f t="shared" ref="E9:M9" si="1">E7-E8</f>
        <v>915794.6100000022</v>
      </c>
      <c r="F9" s="2">
        <f t="shared" si="1"/>
        <v>961899.68000000063</v>
      </c>
      <c r="G9" s="2">
        <f t="shared" si="1"/>
        <v>751053.29</v>
      </c>
      <c r="H9" s="2">
        <f t="shared" si="1"/>
        <v>743932.64000000153</v>
      </c>
      <c r="I9" s="2">
        <f>I7-I8</f>
        <v>1229921.29</v>
      </c>
      <c r="J9" s="2">
        <f t="shared" si="1"/>
        <v>771388</v>
      </c>
      <c r="K9" s="2">
        <f t="shared" si="1"/>
        <v>1785593</v>
      </c>
      <c r="L9" s="2">
        <f t="shared" si="1"/>
        <v>804621</v>
      </c>
      <c r="M9" s="2">
        <f t="shared" si="1"/>
        <v>550365</v>
      </c>
    </row>
    <row r="10" spans="1:14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4">
      <c r="B11" s="21"/>
      <c r="C11" s="21"/>
      <c r="D11" s="21"/>
      <c r="E11" s="21"/>
      <c r="F11" s="21"/>
      <c r="G11" s="21"/>
      <c r="H11" s="21"/>
      <c r="I11" s="45"/>
      <c r="J11" s="21"/>
      <c r="K11" s="21"/>
      <c r="L11" s="21"/>
      <c r="M11" s="21"/>
    </row>
    <row r="12" spans="1:14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4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4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3"/>
  <sheetViews>
    <sheetView workbookViewId="0">
      <selection activeCell="M13" sqref="M13"/>
    </sheetView>
  </sheetViews>
  <sheetFormatPr defaultRowHeight="12.75"/>
  <cols>
    <col min="1" max="1" width="20.85546875" bestFit="1" customWidth="1"/>
    <col min="2" max="6" width="11.140625" bestFit="1" customWidth="1"/>
    <col min="7" max="8" width="12.28515625" bestFit="1" customWidth="1"/>
    <col min="9" max="9" width="10.140625" bestFit="1" customWidth="1"/>
    <col min="10" max="11" width="10.140625" customWidth="1"/>
    <col min="12" max="12" width="11.28515625" bestFit="1" customWidth="1"/>
    <col min="13" max="13" width="11.28515625" customWidth="1"/>
    <col min="14" max="14" width="48.7109375" bestFit="1" customWidth="1"/>
  </cols>
  <sheetData>
    <row r="1" spans="1:14">
      <c r="A1" s="8" t="s">
        <v>3</v>
      </c>
    </row>
    <row r="3" spans="1:14">
      <c r="B3" s="46">
        <v>2005</v>
      </c>
      <c r="C3" s="46">
        <v>2006</v>
      </c>
      <c r="D3" s="46">
        <v>2007</v>
      </c>
      <c r="E3" s="46">
        <v>2008</v>
      </c>
      <c r="F3" s="46">
        <v>2009</v>
      </c>
      <c r="G3" s="46">
        <v>2010</v>
      </c>
      <c r="H3" s="46">
        <v>2011</v>
      </c>
      <c r="I3" s="46">
        <v>2012</v>
      </c>
      <c r="J3" s="46">
        <v>2013</v>
      </c>
      <c r="K3" s="46">
        <v>2014</v>
      </c>
      <c r="L3" s="46">
        <v>2015</v>
      </c>
      <c r="M3" s="47" t="s">
        <v>19</v>
      </c>
      <c r="N3" s="9"/>
    </row>
    <row r="4" spans="1:14">
      <c r="A4" s="9" t="s">
        <v>5</v>
      </c>
      <c r="B4" s="10">
        <f>B7-B5</f>
        <v>614999.25</v>
      </c>
      <c r="C4" s="10">
        <f>C7-C5</f>
        <v>539836.80000000005</v>
      </c>
      <c r="D4" s="10">
        <f>D7-D5</f>
        <v>455182.04</v>
      </c>
      <c r="E4" s="10">
        <f>E7-E5</f>
        <v>424447.72</v>
      </c>
      <c r="F4" s="10">
        <f>F7-F5</f>
        <v>611633</v>
      </c>
      <c r="G4" s="10">
        <v>343304.78</v>
      </c>
      <c r="H4" s="10">
        <v>324013.58</v>
      </c>
      <c r="I4" s="10">
        <f>640524.74-138131.31</f>
        <v>502393.43</v>
      </c>
      <c r="J4" s="30">
        <v>489833.7</v>
      </c>
      <c r="K4" s="10">
        <v>587406.74</v>
      </c>
      <c r="L4" s="10">
        <v>727900</v>
      </c>
      <c r="M4" s="10">
        <v>302601.53000000003</v>
      </c>
      <c r="N4" s="26"/>
    </row>
    <row r="5" spans="1:14" ht="15" customHeight="1">
      <c r="A5" s="9" t="s">
        <v>14</v>
      </c>
      <c r="B5" s="48">
        <v>265240.75</v>
      </c>
      <c r="C5" s="48">
        <v>162979.54999999999</v>
      </c>
      <c r="D5" s="48">
        <v>13606.21</v>
      </c>
      <c r="E5" s="48">
        <v>22751.279999999999</v>
      </c>
      <c r="F5" s="48">
        <v>51500</v>
      </c>
      <c r="G5" s="48">
        <f>G7-G4</f>
        <v>171302.21999999997</v>
      </c>
      <c r="H5" s="48">
        <f>H7-H4</f>
        <v>148673.41999999998</v>
      </c>
      <c r="I5" s="48">
        <v>307708.82</v>
      </c>
      <c r="J5" s="49">
        <f>J7-J4</f>
        <v>40746.81</v>
      </c>
      <c r="K5" s="48">
        <f>K7-K4</f>
        <v>124623.17000000004</v>
      </c>
      <c r="L5" s="48">
        <f>L7-L4</f>
        <v>188588.27000000002</v>
      </c>
      <c r="M5" s="48">
        <f>M7-M4</f>
        <v>10460.859999999986</v>
      </c>
      <c r="N5" s="9"/>
    </row>
    <row r="6" spans="1:14" ht="13.5" customHeight="1">
      <c r="B6" s="10"/>
      <c r="C6" s="10"/>
      <c r="D6" s="10"/>
      <c r="E6" s="10"/>
      <c r="F6" s="10"/>
      <c r="J6" s="31"/>
    </row>
    <row r="7" spans="1:14">
      <c r="A7" s="9" t="s">
        <v>4</v>
      </c>
      <c r="B7" s="11">
        <v>880240</v>
      </c>
      <c r="C7" s="12">
        <v>702816.35</v>
      </c>
      <c r="D7" s="12">
        <v>468788.25</v>
      </c>
      <c r="E7" s="12">
        <v>447199</v>
      </c>
      <c r="F7" s="12">
        <v>663133</v>
      </c>
      <c r="G7" s="12">
        <v>514607</v>
      </c>
      <c r="H7" s="12">
        <v>472687</v>
      </c>
      <c r="I7" s="12">
        <f>I4+I5</f>
        <v>810102.25</v>
      </c>
      <c r="J7" s="32">
        <v>530580.51</v>
      </c>
      <c r="K7" s="12">
        <v>712029.91</v>
      </c>
      <c r="L7" s="12">
        <v>916488.27</v>
      </c>
      <c r="M7" s="12">
        <v>313062.39</v>
      </c>
      <c r="N7" s="26"/>
    </row>
    <row r="8" spans="1:14">
      <c r="B8" s="2"/>
      <c r="C8" s="2"/>
      <c r="D8" s="2"/>
      <c r="E8" s="2"/>
      <c r="F8" s="2"/>
      <c r="J8" s="31"/>
    </row>
    <row r="9" spans="1:14">
      <c r="I9" s="10"/>
      <c r="J9" s="10"/>
      <c r="K9" s="10"/>
    </row>
    <row r="10" spans="1:14">
      <c r="F10" s="3"/>
      <c r="I10" s="10"/>
    </row>
    <row r="12" spans="1:14">
      <c r="J12" s="10"/>
      <c r="K12" s="10"/>
    </row>
    <row r="13" spans="1:14">
      <c r="I13" s="10"/>
      <c r="J13" s="10"/>
      <c r="K13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7"/>
  <sheetViews>
    <sheetView workbookViewId="0">
      <selection activeCell="K23" sqref="K23"/>
    </sheetView>
  </sheetViews>
  <sheetFormatPr defaultRowHeight="12.75"/>
  <cols>
    <col min="1" max="1" width="20.85546875" bestFit="1" customWidth="1"/>
    <col min="2" max="2" width="11.28515625" bestFit="1" customWidth="1"/>
    <col min="3" max="3" width="9.7109375" bestFit="1" customWidth="1"/>
    <col min="4" max="4" width="14" bestFit="1" customWidth="1"/>
    <col min="5" max="5" width="11.28515625" bestFit="1" customWidth="1"/>
    <col min="6" max="6" width="11.5703125" customWidth="1"/>
    <col min="7" max="7" width="14" bestFit="1" customWidth="1"/>
    <col min="8" max="8" width="12.85546875" bestFit="1" customWidth="1"/>
    <col min="9" max="10" width="12.28515625" bestFit="1" customWidth="1"/>
    <col min="11" max="11" width="12.28515625" customWidth="1"/>
    <col min="12" max="13" width="12.5703125" customWidth="1"/>
    <col min="14" max="14" width="31.5703125" bestFit="1" customWidth="1"/>
    <col min="15" max="15" width="22.28515625" customWidth="1"/>
  </cols>
  <sheetData>
    <row r="1" spans="1:14">
      <c r="A1" t="s">
        <v>0</v>
      </c>
    </row>
    <row r="2" spans="1:14">
      <c r="K2" s="2"/>
    </row>
    <row r="3" spans="1:14">
      <c r="I3" s="20"/>
    </row>
    <row r="4" spans="1:14">
      <c r="B4" s="46">
        <v>2005</v>
      </c>
      <c r="C4" s="46">
        <v>2006</v>
      </c>
      <c r="D4" s="46">
        <v>2007</v>
      </c>
      <c r="E4" s="46">
        <v>2008</v>
      </c>
      <c r="F4" s="46">
        <v>2009</v>
      </c>
      <c r="G4" s="46">
        <v>2010</v>
      </c>
      <c r="H4" s="46">
        <v>2011</v>
      </c>
      <c r="I4" s="46">
        <v>2012</v>
      </c>
      <c r="J4" s="46">
        <v>2013</v>
      </c>
      <c r="K4" s="46">
        <v>2014</v>
      </c>
      <c r="L4" s="46">
        <v>2015</v>
      </c>
      <c r="M4" s="47" t="s">
        <v>19</v>
      </c>
    </row>
    <row r="5" spans="1:14">
      <c r="A5" t="s">
        <v>11</v>
      </c>
      <c r="B5" s="2">
        <v>421882.32</v>
      </c>
      <c r="C5" s="2">
        <v>381631.75</v>
      </c>
      <c r="D5" s="2">
        <v>1587717</v>
      </c>
      <c r="E5" s="1">
        <v>1615318</v>
      </c>
      <c r="F5" s="1">
        <v>1266110</v>
      </c>
      <c r="G5" s="1">
        <v>1408078</v>
      </c>
      <c r="H5" s="1">
        <v>1289707.8</v>
      </c>
      <c r="I5" s="24">
        <v>1675572.52</v>
      </c>
      <c r="J5" s="2">
        <v>1041548.68</v>
      </c>
      <c r="K5" s="2">
        <f>7673478.83-1586821</f>
        <v>6086657.8300000001</v>
      </c>
      <c r="L5" s="40">
        <f>1943789.26</f>
        <v>1943789.26</v>
      </c>
      <c r="M5" s="40">
        <f>387080.06-M6</f>
        <v>351775.25</v>
      </c>
      <c r="N5" s="33"/>
    </row>
    <row r="6" spans="1:14">
      <c r="A6" s="26" t="s">
        <v>16</v>
      </c>
      <c r="B6" s="2"/>
      <c r="C6" s="2"/>
      <c r="D6" s="2"/>
      <c r="E6" s="1"/>
      <c r="F6" s="1"/>
      <c r="G6" s="1"/>
      <c r="H6" s="1"/>
      <c r="I6" s="24"/>
      <c r="J6" s="2"/>
      <c r="K6" s="2">
        <v>608570.22</v>
      </c>
      <c r="L6" s="42">
        <f>369814.98-100-10280.01-3310</f>
        <v>356124.97</v>
      </c>
      <c r="M6" s="42">
        <v>35304.81</v>
      </c>
      <c r="N6" s="33"/>
    </row>
    <row r="7" spans="1:14">
      <c r="A7" s="9" t="s">
        <v>10</v>
      </c>
      <c r="B7" s="13"/>
      <c r="C7" s="14"/>
      <c r="D7" s="14">
        <v>1048435</v>
      </c>
      <c r="E7" s="14">
        <v>1261376</v>
      </c>
      <c r="F7" s="14">
        <v>899445</v>
      </c>
      <c r="G7" s="14">
        <v>1000000</v>
      </c>
      <c r="H7" s="14">
        <v>851296.67</v>
      </c>
      <c r="I7" s="14">
        <f>500000+20112.06+19459.06+9729.53+48647.65+48647.65</f>
        <v>646595.95000000007</v>
      </c>
      <c r="J7" s="2">
        <f>129161+12260.73+441823.92+19.64</f>
        <v>583265.29</v>
      </c>
      <c r="K7" s="2">
        <f>1200000+10001.6+541659.81+496405.03+2086164.79+809278.71+777542.29+156792.06-1586821</f>
        <v>4491023.29</v>
      </c>
      <c r="L7" s="2">
        <f>119160+119160+326740.66</f>
        <v>565060.65999999992</v>
      </c>
      <c r="M7" s="2">
        <v>126727.11</v>
      </c>
      <c r="N7" s="41"/>
    </row>
    <row r="8" spans="1:14">
      <c r="A8" s="9" t="s">
        <v>7</v>
      </c>
      <c r="B8" s="11">
        <v>421882</v>
      </c>
      <c r="C8" s="11">
        <v>381632</v>
      </c>
      <c r="D8" s="11">
        <v>539282</v>
      </c>
      <c r="E8" s="11">
        <v>353942</v>
      </c>
      <c r="F8" s="11">
        <v>366665</v>
      </c>
      <c r="G8" s="11">
        <f t="shared" ref="G8:J8" si="0">G5-G7</f>
        <v>408078</v>
      </c>
      <c r="H8" s="11">
        <f t="shared" si="0"/>
        <v>438411.13</v>
      </c>
      <c r="I8" s="3">
        <f t="shared" si="0"/>
        <v>1028976.57</v>
      </c>
      <c r="J8" s="2">
        <f t="shared" si="0"/>
        <v>458283.39</v>
      </c>
      <c r="K8" s="2">
        <f>K5-K7-K6</f>
        <v>987064.32000000007</v>
      </c>
      <c r="L8" s="2">
        <f>L5-L7-L6</f>
        <v>1022603.6300000001</v>
      </c>
      <c r="M8" s="2">
        <f>M5-M7-M6</f>
        <v>189743.33000000002</v>
      </c>
    </row>
    <row r="9" spans="1:14">
      <c r="I9" s="3"/>
    </row>
    <row r="10" spans="1:14">
      <c r="K10" s="21"/>
    </row>
    <row r="11" spans="1:14">
      <c r="K11" s="34"/>
    </row>
    <row r="12" spans="1:14">
      <c r="H12" s="21"/>
      <c r="K12" s="3"/>
    </row>
    <row r="13" spans="1:14">
      <c r="G13" s="21"/>
      <c r="H13" s="21"/>
      <c r="L13" s="3"/>
      <c r="M13" s="3"/>
    </row>
    <row r="14" spans="1:14">
      <c r="H14" s="21"/>
    </row>
    <row r="15" spans="1:14">
      <c r="H15" s="21"/>
      <c r="L15" s="3"/>
      <c r="M15" s="3"/>
    </row>
    <row r="16" spans="1:14">
      <c r="H16" s="21"/>
    </row>
    <row r="17" spans="5:8">
      <c r="H17" s="21"/>
    </row>
    <row r="18" spans="5:8">
      <c r="H18" s="21"/>
    </row>
    <row r="19" spans="5:8">
      <c r="E19" s="21"/>
      <c r="H19" s="21"/>
    </row>
    <row r="20" spans="5:8">
      <c r="E20" s="21"/>
      <c r="H20" s="21"/>
    </row>
    <row r="21" spans="5:8">
      <c r="E21" s="21"/>
      <c r="H21" s="21"/>
    </row>
    <row r="22" spans="5:8">
      <c r="E22" s="21"/>
    </row>
    <row r="23" spans="5:8">
      <c r="E23" s="21"/>
    </row>
    <row r="24" spans="5:8">
      <c r="E24" s="21"/>
    </row>
    <row r="25" spans="5:8">
      <c r="E25" s="29"/>
    </row>
    <row r="26" spans="5:8">
      <c r="E26" s="21"/>
    </row>
    <row r="27" spans="5:8">
      <c r="E27" s="2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workbookViewId="0">
      <selection activeCell="A8" sqref="A8"/>
    </sheetView>
  </sheetViews>
  <sheetFormatPr defaultRowHeight="12.75"/>
  <cols>
    <col min="1" max="1" width="21" bestFit="1" customWidth="1"/>
    <col min="2" max="5" width="9.7109375" bestFit="1" customWidth="1"/>
    <col min="6" max="6" width="10" customWidth="1"/>
    <col min="7" max="7" width="12.28515625" bestFit="1" customWidth="1"/>
    <col min="8" max="8" width="11.28515625" bestFit="1" customWidth="1"/>
    <col min="9" max="9" width="10.140625" bestFit="1" customWidth="1"/>
    <col min="10" max="11" width="10.140625" customWidth="1"/>
    <col min="12" max="12" width="9.7109375" bestFit="1" customWidth="1"/>
    <col min="13" max="13" width="12.28515625" bestFit="1" customWidth="1"/>
    <col min="16" max="16" width="15" bestFit="1" customWidth="1"/>
    <col min="17" max="17" width="14" bestFit="1" customWidth="1"/>
  </cols>
  <sheetData>
    <row r="1" spans="1:17">
      <c r="A1" s="9" t="s">
        <v>12</v>
      </c>
    </row>
    <row r="2" spans="1:17">
      <c r="I2" s="20"/>
      <c r="J2" s="20"/>
      <c r="K2" s="20"/>
    </row>
    <row r="3" spans="1:17">
      <c r="B3" s="46">
        <v>2005</v>
      </c>
      <c r="C3" s="46">
        <v>2006</v>
      </c>
      <c r="D3" s="46">
        <v>2007</v>
      </c>
      <c r="E3" s="46">
        <v>2008</v>
      </c>
      <c r="F3" s="46">
        <v>2009</v>
      </c>
      <c r="G3" s="46">
        <v>2010</v>
      </c>
      <c r="H3" s="46">
        <v>2011</v>
      </c>
      <c r="I3" s="46">
        <v>2012</v>
      </c>
      <c r="J3" s="46">
        <v>2013</v>
      </c>
      <c r="K3" s="46">
        <v>2014</v>
      </c>
      <c r="L3" s="46">
        <v>2015</v>
      </c>
      <c r="M3" s="47" t="s">
        <v>19</v>
      </c>
      <c r="N3" s="9"/>
    </row>
    <row r="4" spans="1:17">
      <c r="A4" s="26" t="s">
        <v>21</v>
      </c>
      <c r="B4" s="2"/>
      <c r="C4" s="2"/>
      <c r="D4" s="2">
        <f>338680.7-25492.75</f>
        <v>313187.95</v>
      </c>
      <c r="E4" s="2">
        <f>330923.83-23463.04</f>
        <v>307460.79000000004</v>
      </c>
      <c r="F4" s="2">
        <f>338081.18-29609.38</f>
        <v>308471.8</v>
      </c>
      <c r="G4" s="2">
        <f>336812.65-25524.66</f>
        <v>311287.99000000005</v>
      </c>
      <c r="H4" s="2">
        <f>346944.37-16590.98</f>
        <v>330353.39</v>
      </c>
      <c r="I4" s="2">
        <f>427040.54-25790.02</f>
        <v>401250.51999999996</v>
      </c>
      <c r="J4" s="2">
        <f>405933.37-27215.5</f>
        <v>378717.87</v>
      </c>
      <c r="K4" s="2">
        <v>444203</v>
      </c>
      <c r="L4" s="2">
        <v>525552</v>
      </c>
      <c r="M4" s="2">
        <v>183709.38</v>
      </c>
    </row>
    <row r="5" spans="1:17">
      <c r="A5" s="26" t="s">
        <v>20</v>
      </c>
      <c r="B5" s="2"/>
      <c r="C5" s="2"/>
      <c r="D5" s="2"/>
      <c r="M5" s="2">
        <v>558477</v>
      </c>
    </row>
    <row r="6" spans="1:17">
      <c r="H6" s="3"/>
    </row>
    <row r="7" spans="1:17">
      <c r="M7" s="34"/>
    </row>
    <row r="10" spans="1:17">
      <c r="P10" s="28"/>
    </row>
    <row r="11" spans="1:17">
      <c r="P11" s="27"/>
    </row>
    <row r="12" spans="1:17">
      <c r="P12" s="27"/>
    </row>
    <row r="13" spans="1:17">
      <c r="P13" s="27"/>
    </row>
    <row r="14" spans="1:17">
      <c r="Q14" s="21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2"/>
  <sheetViews>
    <sheetView workbookViewId="0">
      <selection activeCell="D33" sqref="D33"/>
    </sheetView>
  </sheetViews>
  <sheetFormatPr defaultRowHeight="12.75"/>
  <cols>
    <col min="1" max="1" width="10.140625" bestFit="1" customWidth="1"/>
    <col min="2" max="2" width="9.85546875" bestFit="1" customWidth="1"/>
    <col min="4" max="4" width="24" bestFit="1" customWidth="1"/>
    <col min="5" max="5" width="24" customWidth="1"/>
    <col min="16" max="16" width="8.5703125" bestFit="1" customWidth="1"/>
    <col min="18" max="18" width="13.140625" bestFit="1" customWidth="1"/>
  </cols>
  <sheetData>
    <row r="1" spans="1:16">
      <c r="A1" t="s">
        <v>1</v>
      </c>
    </row>
    <row r="2" spans="1:16">
      <c r="B2" s="6"/>
      <c r="C2" s="7"/>
    </row>
    <row r="3" spans="1:16">
      <c r="B3" s="6"/>
      <c r="C3" s="7"/>
    </row>
    <row r="4" spans="1:16">
      <c r="B4" s="6"/>
      <c r="C4" s="7" t="s">
        <v>13</v>
      </c>
      <c r="D4" s="9" t="s">
        <v>15</v>
      </c>
    </row>
    <row r="5" spans="1:16">
      <c r="B5" s="6">
        <v>1994</v>
      </c>
      <c r="C5" s="23">
        <v>1.3999999999999999E-2</v>
      </c>
      <c r="D5" s="22">
        <v>6.7500000000000004E-2</v>
      </c>
      <c r="E5" s="22"/>
      <c r="L5" s="7"/>
      <c r="O5" s="6"/>
      <c r="P5" s="7"/>
    </row>
    <row r="6" spans="1:16">
      <c r="B6" s="6">
        <v>1995</v>
      </c>
      <c r="C6" s="23">
        <v>0.111</v>
      </c>
      <c r="D6" s="22">
        <v>6.7500000000000004E-2</v>
      </c>
      <c r="E6" s="22"/>
      <c r="L6" s="7"/>
      <c r="O6" s="6"/>
      <c r="P6" s="7"/>
    </row>
    <row r="7" spans="1:16">
      <c r="B7" s="6">
        <v>1996</v>
      </c>
      <c r="C7" s="23">
        <v>7.6999999999999999E-2</v>
      </c>
      <c r="D7" s="22">
        <v>6.7500000000000004E-2</v>
      </c>
      <c r="E7" s="22"/>
      <c r="L7" s="7"/>
      <c r="O7" s="6"/>
      <c r="P7" s="7"/>
    </row>
    <row r="8" spans="1:16">
      <c r="B8" s="6">
        <v>1997</v>
      </c>
      <c r="C8" s="23">
        <v>0.20199999999999999</v>
      </c>
      <c r="D8" s="22">
        <v>6.7500000000000004E-2</v>
      </c>
      <c r="E8" s="22"/>
      <c r="L8" s="7"/>
      <c r="O8" s="6"/>
      <c r="P8" s="7"/>
    </row>
    <row r="9" spans="1:16">
      <c r="B9" s="6">
        <v>1998</v>
      </c>
      <c r="C9" s="23">
        <v>0.17600000000000002</v>
      </c>
      <c r="D9" s="22">
        <v>6.7500000000000004E-2</v>
      </c>
      <c r="E9" s="22"/>
      <c r="L9" s="7"/>
      <c r="O9" s="6"/>
      <c r="P9" s="7"/>
    </row>
    <row r="10" spans="1:16">
      <c r="B10" s="6">
        <v>1999</v>
      </c>
      <c r="C10" s="23">
        <v>6.7000000000000004E-2</v>
      </c>
      <c r="D10" s="22">
        <v>6.7500000000000004E-2</v>
      </c>
      <c r="E10" s="22"/>
      <c r="L10" s="7"/>
      <c r="O10" s="6"/>
      <c r="P10" s="7"/>
    </row>
    <row r="11" spans="1:16">
      <c r="B11" s="6">
        <v>2000</v>
      </c>
      <c r="C11" s="23">
        <v>1.6E-2</v>
      </c>
      <c r="D11" s="22">
        <v>6.7500000000000004E-2</v>
      </c>
      <c r="E11" s="22"/>
      <c r="L11" s="7"/>
      <c r="O11" s="6"/>
      <c r="P11" s="7"/>
    </row>
    <row r="12" spans="1:16">
      <c r="B12" s="6">
        <v>2001</v>
      </c>
      <c r="C12" s="23">
        <v>-4.2999999999999997E-2</v>
      </c>
      <c r="D12" s="22">
        <v>6.7500000000000004E-2</v>
      </c>
      <c r="E12" s="22"/>
      <c r="L12" s="7"/>
      <c r="O12" s="6"/>
      <c r="P12" s="7"/>
    </row>
    <row r="13" spans="1:16">
      <c r="B13" s="6">
        <v>2002</v>
      </c>
      <c r="C13" s="23">
        <v>-9.3000000000000013E-2</v>
      </c>
      <c r="D13" s="22">
        <v>6.7500000000000004E-2</v>
      </c>
      <c r="E13" s="22"/>
      <c r="L13" s="7"/>
      <c r="M13" s="9"/>
      <c r="O13" s="6"/>
      <c r="P13" s="7"/>
    </row>
    <row r="14" spans="1:16">
      <c r="B14" s="6">
        <v>2003</v>
      </c>
      <c r="C14" s="23">
        <v>0.16800000000000001</v>
      </c>
      <c r="D14" s="22">
        <v>6.7500000000000004E-2</v>
      </c>
      <c r="E14" s="22"/>
      <c r="L14" s="7"/>
      <c r="O14" s="6"/>
      <c r="P14" s="7"/>
    </row>
    <row r="15" spans="1:16">
      <c r="B15" s="6">
        <v>2004</v>
      </c>
      <c r="C15" s="23">
        <v>7.0000000000000007E-2</v>
      </c>
      <c r="D15" s="22">
        <v>6.7500000000000004E-2</v>
      </c>
      <c r="E15" s="22"/>
      <c r="L15" s="7"/>
      <c r="O15" s="6"/>
      <c r="P15" s="7"/>
    </row>
    <row r="16" spans="1:16">
      <c r="B16" s="6">
        <v>2005</v>
      </c>
      <c r="C16" s="23">
        <v>4.5999999999999999E-2</v>
      </c>
      <c r="D16" s="22">
        <v>6.7500000000000004E-2</v>
      </c>
      <c r="E16" s="22"/>
      <c r="L16" s="7"/>
      <c r="O16" s="6"/>
      <c r="P16" s="7"/>
    </row>
    <row r="17" spans="1:18">
      <c r="B17" s="6">
        <v>2006</v>
      </c>
      <c r="C17" s="23">
        <v>9.6999999999999989E-2</v>
      </c>
      <c r="D17" s="22">
        <v>6.7500000000000004E-2</v>
      </c>
      <c r="E17" s="22"/>
      <c r="L17" s="7"/>
      <c r="O17" s="6"/>
      <c r="P17" s="7"/>
    </row>
    <row r="18" spans="1:18">
      <c r="B18" s="6">
        <v>2007</v>
      </c>
      <c r="C18" s="23">
        <v>0.09</v>
      </c>
      <c r="D18" s="22">
        <v>6.7500000000000004E-2</v>
      </c>
      <c r="E18" s="22"/>
      <c r="L18" s="7"/>
      <c r="O18" s="6"/>
      <c r="P18" s="7"/>
    </row>
    <row r="19" spans="1:18">
      <c r="B19" s="6">
        <v>2008</v>
      </c>
      <c r="C19" s="23">
        <v>-0.23699999999999999</v>
      </c>
      <c r="D19" s="22">
        <v>6.7500000000000004E-2</v>
      </c>
      <c r="E19" s="22"/>
      <c r="L19" s="7"/>
      <c r="O19" s="6"/>
      <c r="P19" s="7"/>
    </row>
    <row r="20" spans="1:18">
      <c r="B20" s="6">
        <v>2009</v>
      </c>
      <c r="C20" s="23">
        <v>0.21</v>
      </c>
      <c r="D20" s="22">
        <v>6.7500000000000004E-2</v>
      </c>
      <c r="E20" s="22"/>
      <c r="F20" s="4"/>
      <c r="G20" s="4"/>
      <c r="H20" s="4"/>
      <c r="I20" s="4"/>
      <c r="J20" s="4"/>
      <c r="L20" s="7"/>
      <c r="O20" s="6"/>
      <c r="P20" s="7"/>
    </row>
    <row r="21" spans="1:18">
      <c r="B21" s="6">
        <v>2010</v>
      </c>
      <c r="C21" s="23">
        <v>0.127</v>
      </c>
      <c r="D21" s="22">
        <v>6.7500000000000004E-2</v>
      </c>
      <c r="E21" s="22"/>
      <c r="F21" s="4"/>
      <c r="G21" s="4"/>
      <c r="H21" s="4"/>
      <c r="I21" s="4"/>
      <c r="J21" s="4"/>
      <c r="L21" s="7"/>
      <c r="O21" s="6"/>
      <c r="P21" s="7"/>
    </row>
    <row r="22" spans="1:18">
      <c r="B22" s="6">
        <v>2011</v>
      </c>
      <c r="C22" s="23">
        <v>7.7000000000000002E-3</v>
      </c>
      <c r="D22" s="22">
        <v>6.7500000000000004E-2</v>
      </c>
      <c r="E22" s="22"/>
      <c r="F22" s="4"/>
      <c r="G22" s="4"/>
      <c r="H22" s="4"/>
      <c r="I22" s="4"/>
      <c r="J22" s="4"/>
      <c r="L22" s="7"/>
      <c r="O22" s="6"/>
      <c r="P22" s="7"/>
    </row>
    <row r="23" spans="1:18">
      <c r="A23" s="20"/>
      <c r="B23" s="6">
        <v>2012</v>
      </c>
      <c r="C23" s="23">
        <v>0.13500000000000001</v>
      </c>
      <c r="D23" s="22">
        <v>6.7500000000000004E-2</v>
      </c>
      <c r="E23" s="22"/>
      <c r="G23" s="4"/>
      <c r="H23" s="4"/>
      <c r="I23" s="4"/>
      <c r="J23" s="4"/>
      <c r="L23" s="7"/>
    </row>
    <row r="24" spans="1:18">
      <c r="B24" s="6">
        <v>2013</v>
      </c>
      <c r="C24" s="23">
        <v>0.19600000000000001</v>
      </c>
      <c r="D24" s="22">
        <v>6.7500000000000004E-2</v>
      </c>
      <c r="L24" s="19"/>
      <c r="P24" s="18"/>
    </row>
    <row r="25" spans="1:18">
      <c r="B25" s="6">
        <v>2014</v>
      </c>
      <c r="C25" s="23">
        <v>6.0100000000000001E-2</v>
      </c>
      <c r="D25" s="22">
        <v>6.7500000000000004E-2</v>
      </c>
    </row>
    <row r="26" spans="1:18">
      <c r="B26" s="6">
        <v>2015</v>
      </c>
      <c r="C26" s="23">
        <v>-1.4500000000000001E-2</v>
      </c>
      <c r="D26" s="22">
        <v>6.7500000000000004E-2</v>
      </c>
    </row>
    <row r="27" spans="1:18">
      <c r="B27" s="51" t="s">
        <v>19</v>
      </c>
      <c r="C27" s="23">
        <v>8.5000000000000006E-3</v>
      </c>
      <c r="D27" s="22">
        <v>6.7500000000000004E-2</v>
      </c>
      <c r="E27" s="25"/>
    </row>
    <row r="28" spans="1:18">
      <c r="B28" s="6"/>
    </row>
    <row r="29" spans="1:18">
      <c r="B29" s="6"/>
      <c r="R29" s="52"/>
    </row>
    <row r="30" spans="1:18">
      <c r="B30" s="6"/>
      <c r="R30" s="52"/>
    </row>
    <row r="31" spans="1:18">
      <c r="B31" s="6"/>
      <c r="P31" s="52"/>
    </row>
    <row r="32" spans="1:18">
      <c r="B32" s="6"/>
      <c r="P32" s="52"/>
    </row>
  </sheetData>
  <mergeCells count="2">
    <mergeCell ref="P31:P32"/>
    <mergeCell ref="R29:R3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Charts</vt:lpstr>
      <vt:lpstr>Foundation Assets</vt:lpstr>
      <vt:lpstr>Grants Distributed</vt:lpstr>
      <vt:lpstr>Contributions Received</vt:lpstr>
      <vt:lpstr>Operating Expenses</vt:lpstr>
      <vt:lpstr>Inv Perf</vt:lpstr>
      <vt:lpstr>Charts!Print_Area</vt:lpstr>
    </vt:vector>
  </TitlesOfParts>
  <Company>GLCF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Beaver</dc:creator>
  <cp:lastModifiedBy>mfelver</cp:lastModifiedBy>
  <cp:lastPrinted>2015-11-05T17:41:08Z</cp:lastPrinted>
  <dcterms:created xsi:type="dcterms:W3CDTF">2006-01-23T13:54:35Z</dcterms:created>
  <dcterms:modified xsi:type="dcterms:W3CDTF">2016-07-27T11:51:10Z</dcterms:modified>
</cp:coreProperties>
</file>